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<sst xmlns="http://schemas.openxmlformats.org/spreadsheetml/2006/main" count="156" uniqueCount="111">
  <si>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</si>
  <si>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</si>
  <si>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</si>
  <si>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</si>
  <si>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</si>
  <si>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</si>
  <si>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</si>
  <si>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</si>
  <si>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</si>
  <si>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</si>
  <si>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</si>
  <si>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</si>
  <si>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</si>
  <si>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</si>
  <si>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</si>
  <si>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</si>
  <si>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</si>
  <si>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</si>
  <si>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</si>
  <si>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</si>
  <si>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</si>
  <si>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</si>
  <si>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</si>
  <si>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</si>
  <si>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</si>
  <si>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</si>
  <si>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</si>
  <si>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</si>
  <si>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</si>
  <si>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</si>
  <si>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</si>
  <si>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</si>
  <si>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</si>
  <si>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</si>
  <si>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</si>
  <si>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</si>
  <si>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</si>
  <si>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</si>
  <si>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</si>
  <si>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</si>
  <si>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</si>
  <si>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</si>
  <si>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</si>
  <si>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</si>
  <si>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</si>
  <si>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</si>
  <si>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</si>
  <si>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</si>
  <si>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</si>
  <si>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</si>
  <si>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</si>
  <si>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</si>
  <si>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</si>
  <si>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</si>
  <si>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</si>
  <si>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</si>
  <si>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</si>
  <si>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</si>
  <si>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</si>
  <si>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</si>
  <si>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</si>
  <si>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</si>
  <si>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</si>
  <si>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</si>
  <si>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</si>
  <si>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</si>
  <si>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</si>
  <si>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</si>
  <si>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</si>
  <si>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</si>
  <si>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</si>
  <si>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</si>
  <si>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</si>
  <si>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</si>
  <si>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</si>
  <si>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</si>
  <si>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</si>
  <si>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</si>
  <si>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</si>
  <si>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</si>
  <si>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</si>
  <si>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</si>
  <si>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</si>
  <si>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</si>
  <si>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</si>
  <si>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</si>
  <si>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</si>
  <si>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</si>
  <si>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</si>
  <si>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</si>
  <si>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</si>
  <si>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</si>
  <si>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</si>
  <si>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</si>
  <si>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</si>
  <si>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</si>
  <si>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</si>
  <si>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</si>
  <si>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</si>
  <si>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</si>
  <si>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</si>
  <si>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</si>
  <si>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</si>
  <si>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</si>
  <si>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</si>
  <si>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</si>
  <si>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тимчасовго плану на 1 півріччя,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</si>
  <si>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</si>
  <si>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</si>
  <si>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</si>
  <si>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2014 рік станом на 13.02.2014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</si>
</sst>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3307.3</c:v>
                </c:pt>
                <c:pt idx="1">
                  <c:v>2734.2</c:v>
                </c:pt>
                <c:pt idx="2">
                  <c:v>231.8</c:v>
                </c:pt>
                <c:pt idx="3">
                  <c:v>341.30000000000035</c:v>
                </c:pt>
              </c:numCache>
            </c:numRef>
          </c:val>
          <c:shape val="box"/>
        </c:ser>
        <c:shape val="box"/>
        <c:axId val="12158736"/>
        <c:axId val="42319761"/>
      </c:bar3D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19761"/>
        <c:crosses val="autoZero"/>
        <c:auto val="1"/>
        <c:lblOffset val="100"/>
        <c:tickLblSkip val="1"/>
        <c:noMultiLvlLbl val="0"/>
      </c:catAx>
      <c:valAx>
        <c:axId val="42319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8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19434.4</c:v>
                </c:pt>
                <c:pt idx="1">
                  <c:v>17937.2</c:v>
                </c:pt>
                <c:pt idx="3">
                  <c:v>1371.3</c:v>
                </c:pt>
                <c:pt idx="4">
                  <c:v>114.5</c:v>
                </c:pt>
                <c:pt idx="5">
                  <c:v>4</c:v>
                </c:pt>
                <c:pt idx="6">
                  <c:v>7.400000000000773</c:v>
                </c:pt>
              </c:numCache>
            </c:numRef>
          </c:val>
          <c:shape val="box"/>
        </c:ser>
        <c:shape val="box"/>
        <c:axId val="45333530"/>
        <c:axId val="5348587"/>
      </c:bar3D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8587"/>
        <c:crosses val="autoZero"/>
        <c:auto val="1"/>
        <c:lblOffset val="100"/>
        <c:tickLblSkip val="1"/>
        <c:noMultiLvlLbl val="0"/>
      </c:catAx>
      <c:valAx>
        <c:axId val="5348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3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13190.699999999999</c:v>
                </c:pt>
                <c:pt idx="1">
                  <c:v>11982.5</c:v>
                </c:pt>
                <c:pt idx="2">
                  <c:v>114.7</c:v>
                </c:pt>
                <c:pt idx="3">
                  <c:v>213.3</c:v>
                </c:pt>
                <c:pt idx="4">
                  <c:v>36.6</c:v>
                </c:pt>
                <c:pt idx="5">
                  <c:v>94.3</c:v>
                </c:pt>
                <c:pt idx="6">
                  <c:v>749.2999999999989</c:v>
                </c:pt>
              </c:numCache>
            </c:numRef>
          </c:val>
          <c:shape val="box"/>
        </c:ser>
        <c:shape val="box"/>
        <c:axId val="48137284"/>
        <c:axId val="30582373"/>
      </c:bar3D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2930.5999999999995</c:v>
                </c:pt>
                <c:pt idx="1">
                  <c:v>2240.6</c:v>
                </c:pt>
                <c:pt idx="2">
                  <c:v>11.700000000000001</c:v>
                </c:pt>
                <c:pt idx="3">
                  <c:v>47</c:v>
                </c:pt>
                <c:pt idx="5">
                  <c:v>631.2999999999995</c:v>
                </c:pt>
              </c:numCache>
            </c:numRef>
          </c:val>
          <c:shape val="box"/>
        </c:ser>
        <c:shape val="box"/>
        <c:axId val="6805902"/>
        <c:axId val="61253119"/>
      </c:bar3D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860.1999999999999</c:v>
                </c:pt>
                <c:pt idx="1">
                  <c:v>626.3</c:v>
                </c:pt>
                <c:pt idx="2">
                  <c:v>2.4</c:v>
                </c:pt>
                <c:pt idx="3">
                  <c:v>6</c:v>
                </c:pt>
                <c:pt idx="4">
                  <c:v>225.49999999999997</c:v>
                </c:pt>
              </c:numCache>
            </c:numRef>
          </c:val>
          <c:shape val="box"/>
        </c:ser>
        <c:shape val="box"/>
        <c:axId val="14407160"/>
        <c:axId val="62555577"/>
      </c:bar3D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5577"/>
        <c:crosses val="autoZero"/>
        <c:auto val="1"/>
        <c:lblOffset val="100"/>
        <c:tickLblSkip val="2"/>
        <c:noMultiLvlLbl val="0"/>
      </c:catAx>
      <c:valAx>
        <c:axId val="6255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181.4</c:v>
                </c:pt>
                <c:pt idx="1">
                  <c:v>169.6</c:v>
                </c:pt>
                <c:pt idx="2">
                  <c:v>4.5</c:v>
                </c:pt>
                <c:pt idx="4">
                  <c:v>7.300000000000011</c:v>
                </c:pt>
              </c:numCache>
            </c:numRef>
          </c:val>
          <c:shape val="box"/>
        </c:ser>
        <c:shape val="box"/>
        <c:axId val="26129282"/>
        <c:axId val="33836947"/>
      </c:bar3D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36097068"/>
        <c:axId val="56438157"/>
      </c:bar3D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19434.4</c:v>
                </c:pt>
                <c:pt idx="1">
                  <c:v>13190.699999999999</c:v>
                </c:pt>
                <c:pt idx="2">
                  <c:v>2930.5999999999995</c:v>
                </c:pt>
                <c:pt idx="3">
                  <c:v>860.1999999999999</c:v>
                </c:pt>
                <c:pt idx="4">
                  <c:v>181.4</c:v>
                </c:pt>
                <c:pt idx="5">
                  <c:v>3307.3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38181366"/>
        <c:axId val="8087975"/>
      </c:bar3D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8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36128.59999999999</c:v>
                </c:pt>
                <c:pt idx="1">
                  <c:v>430.90000000000003</c:v>
                </c:pt>
                <c:pt idx="2">
                  <c:v>1587</c:v>
                </c:pt>
                <c:pt idx="3">
                  <c:v>534.4</c:v>
                </c:pt>
                <c:pt idx="4">
                  <c:v>114.7</c:v>
                </c:pt>
                <c:pt idx="5">
                  <c:v>7312.100000000014</c:v>
                </c:pt>
              </c:numCache>
            </c:numRef>
          </c:val>
          <c:shape val="box"/>
        </c:ser>
        <c:shape val="box"/>
        <c:axId val="5682912"/>
        <c:axId val="51146209"/>
      </c:bar3DChart>
      <c:catAx>
        <c:axId val="568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46209"/>
        <c:crosses val="autoZero"/>
        <c:auto val="1"/>
        <c:lblOffset val="100"/>
        <c:tickLblSkip val="1"/>
        <c:noMultiLvlLbl val="0"/>
      </c:catAx>
      <c:valAx>
        <c:axId val="51146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107</v>
      </c>
      <c r="C3" s="119" t="s">
        <v>104</v>
      </c>
      <c r="D3" s="119" t="s">
        <v>30</v>
      </c>
      <c r="E3" s="119" t="s">
        <v>29</v>
      </c>
      <c r="F3" s="119" t="s">
        <v>108</v>
      </c>
      <c r="G3" s="119" t="s">
        <v>105</v>
      </c>
      <c r="H3" s="119" t="s">
        <v>109</v>
      </c>
      <c r="I3" s="119" t="s">
        <v>106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46702.3</v>
      </c>
      <c r="C6" s="56">
        <f>139031.6+971.7</f>
        <v>140003.30000000002</v>
      </c>
      <c r="D6" s="57">
        <f>7985.1+539+415.1+9890.7+509.1+95.4+495.3+8129.6</f>
        <v>28059.300000000003</v>
      </c>
      <c r="E6" s="3">
        <f>D6/D134*100</f>
        <v>44.13310726216915</v>
      </c>
      <c r="F6" s="3">
        <f>D6/B6*100</f>
        <v>60.08119514456462</v>
      </c>
      <c r="G6" s="3">
        <f aca="true" t="shared" si="0" ref="G6:G41">D6/C6*100</f>
        <v>20.041884727002863</v>
      </c>
      <c r="H6" s="3">
        <f>B6-D6</f>
        <v>18643</v>
      </c>
      <c r="I6" s="3">
        <f aca="true" t="shared" si="1" ref="I6:I41">C6-D6</f>
        <v>111944.00000000001</v>
      </c>
    </row>
    <row r="7" spans="1:9" ht="18">
      <c r="A7" s="31" t="s">
        <v>3</v>
      </c>
      <c r="B7" s="52">
        <v>37188</v>
      </c>
      <c r="C7" s="53">
        <f>110781+795-0.1</f>
        <v>111575.9</v>
      </c>
      <c r="D7" s="54">
        <f>7985.1+61.4+9890.7+1.2+8129.6</f>
        <v>26068</v>
      </c>
      <c r="E7" s="1">
        <f>D7/D6*100</f>
        <v>92.90324420067499</v>
      </c>
      <c r="F7" s="1">
        <f>D7/B7*100</f>
        <v>70.09788103689361</v>
      </c>
      <c r="G7" s="1">
        <f t="shared" si="0"/>
        <v>23.36346827585527</v>
      </c>
      <c r="H7" s="1">
        <f>B7-D7</f>
        <v>11120</v>
      </c>
      <c r="I7" s="1">
        <f t="shared" si="1"/>
        <v>85507.9</v>
      </c>
    </row>
    <row r="8" spans="1:9" ht="18">
      <c r="A8" s="31" t="s">
        <v>2</v>
      </c>
      <c r="B8" s="52">
        <v>3</v>
      </c>
      <c r="C8" s="53">
        <v>7.6</v>
      </c>
      <c r="D8" s="54">
        <f>0.1</f>
        <v>0.1</v>
      </c>
      <c r="E8" s="13">
        <f>D8/D6*100</f>
        <v>0.00035638807810601115</v>
      </c>
      <c r="F8" s="1">
        <f>D8/B8*100</f>
        <v>3.3333333333333335</v>
      </c>
      <c r="G8" s="1">
        <f t="shared" si="0"/>
        <v>1.3157894736842106</v>
      </c>
      <c r="H8" s="1">
        <f aca="true" t="shared" si="2" ref="H8:H30">B8-D8</f>
        <v>2.9</v>
      </c>
      <c r="I8" s="1">
        <f t="shared" si="1"/>
        <v>7.5</v>
      </c>
    </row>
    <row r="9" spans="1:9" ht="18">
      <c r="A9" s="31" t="s">
        <v>1</v>
      </c>
      <c r="B9" s="52">
        <v>2999.1</v>
      </c>
      <c r="C9" s="53">
        <v>8641.5</v>
      </c>
      <c r="D9" s="58">
        <f>538.7+346.9+429.4+56.3+419.6</f>
        <v>1790.9</v>
      </c>
      <c r="E9" s="1">
        <f>D9/D6*100</f>
        <v>6.3825540908005545</v>
      </c>
      <c r="F9" s="1">
        <f aca="true" t="shared" si="3" ref="F9:F39">D9/B9*100</f>
        <v>59.71458104097896</v>
      </c>
      <c r="G9" s="1">
        <f t="shared" si="0"/>
        <v>20.724411271191347</v>
      </c>
      <c r="H9" s="1">
        <f t="shared" si="2"/>
        <v>1208.1999999999998</v>
      </c>
      <c r="I9" s="1">
        <f t="shared" si="1"/>
        <v>6850.6</v>
      </c>
    </row>
    <row r="10" spans="1:9" ht="18">
      <c r="A10" s="31" t="s">
        <v>0</v>
      </c>
      <c r="B10" s="52">
        <v>6344.3</v>
      </c>
      <c r="C10" s="53">
        <f>18870.2+144.6</f>
        <v>19014.8</v>
      </c>
      <c r="D10" s="59">
        <f>1.1+76.7+36.7+34.9</f>
        <v>149.4</v>
      </c>
      <c r="E10" s="1">
        <f>D10/D6*100</f>
        <v>0.5324437886903807</v>
      </c>
      <c r="F10" s="1">
        <f t="shared" si="3"/>
        <v>2.3548697255804423</v>
      </c>
      <c r="G10" s="1">
        <f t="shared" si="0"/>
        <v>0.7857037675915604</v>
      </c>
      <c r="H10" s="1">
        <f t="shared" si="2"/>
        <v>6194.900000000001</v>
      </c>
      <c r="I10" s="1">
        <f t="shared" si="1"/>
        <v>18865.399999999998</v>
      </c>
    </row>
    <row r="11" spans="1:9" ht="18">
      <c r="A11" s="31" t="s">
        <v>15</v>
      </c>
      <c r="B11" s="52">
        <v>20.7</v>
      </c>
      <c r="C11" s="53">
        <v>232.9</v>
      </c>
      <c r="D11" s="54">
        <f>4</f>
        <v>4</v>
      </c>
      <c r="E11" s="1">
        <f>D11/D6*100</f>
        <v>0.014255523124240447</v>
      </c>
      <c r="F11" s="1">
        <f t="shared" si="3"/>
        <v>19.32367149758454</v>
      </c>
      <c r="G11" s="1">
        <f t="shared" si="0"/>
        <v>1.7174753112924002</v>
      </c>
      <c r="H11" s="1">
        <f t="shared" si="2"/>
        <v>16.7</v>
      </c>
      <c r="I11" s="1">
        <f t="shared" si="1"/>
        <v>228.9</v>
      </c>
    </row>
    <row r="12" spans="1:9" ht="18.75" thickBot="1">
      <c r="A12" s="31" t="s">
        <v>36</v>
      </c>
      <c r="B12" s="53">
        <f>B6-B7-B8-B9-B10-B11</f>
        <v>147.20000000000238</v>
      </c>
      <c r="C12" s="53">
        <f>C6-C7-C8-C9-C10-C11</f>
        <v>530.6000000000255</v>
      </c>
      <c r="D12" s="53">
        <f>D6-D7-D8-D9-D10-D11</f>
        <v>46.900000000002905</v>
      </c>
      <c r="E12" s="1">
        <f>D12/D6*100</f>
        <v>0.16714600863172957</v>
      </c>
      <c r="F12" s="1">
        <f t="shared" si="3"/>
        <v>31.86141304347972</v>
      </c>
      <c r="G12" s="1">
        <f t="shared" si="0"/>
        <v>8.839050131926244</v>
      </c>
      <c r="H12" s="1">
        <f t="shared" si="2"/>
        <v>100.29999999999947</v>
      </c>
      <c r="I12" s="1">
        <f t="shared" si="1"/>
        <v>483.70000000002256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32143.3</v>
      </c>
      <c r="C17" s="56">
        <v>96430</v>
      </c>
      <c r="D17" s="57">
        <f>5329.2+6976.4+310.1+0.1+574.9+417.4+5396.4+2</f>
        <v>19006.5</v>
      </c>
      <c r="E17" s="3">
        <f>D17/D134*100</f>
        <v>29.89439876185143</v>
      </c>
      <c r="F17" s="3">
        <f>D17/B17*100</f>
        <v>59.13051864618755</v>
      </c>
      <c r="G17" s="3">
        <f t="shared" si="0"/>
        <v>19.71015244218604</v>
      </c>
      <c r="H17" s="3">
        <f>B17-D17</f>
        <v>13136.8</v>
      </c>
      <c r="I17" s="3">
        <f t="shared" si="1"/>
        <v>77423.5</v>
      </c>
    </row>
    <row r="18" spans="1:9" ht="18">
      <c r="A18" s="31" t="s">
        <v>5</v>
      </c>
      <c r="B18" s="52">
        <v>24576.8</v>
      </c>
      <c r="C18" s="53">
        <v>75362.8</v>
      </c>
      <c r="D18" s="54">
        <f>5127.2+6545.1+310.1+0.1+5190.4</f>
        <v>17172.9</v>
      </c>
      <c r="E18" s="1">
        <f>D18/D17*100</f>
        <v>90.35277405098256</v>
      </c>
      <c r="F18" s="1">
        <f t="shared" si="3"/>
        <v>69.8744344259627</v>
      </c>
      <c r="G18" s="1">
        <f t="shared" si="0"/>
        <v>22.786971821641448</v>
      </c>
      <c r="H18" s="1">
        <f t="shared" si="2"/>
        <v>7403.899999999998</v>
      </c>
      <c r="I18" s="1">
        <f t="shared" si="1"/>
        <v>58189.9</v>
      </c>
    </row>
    <row r="19" spans="1:9" ht="18">
      <c r="A19" s="31" t="s">
        <v>2</v>
      </c>
      <c r="B19" s="52">
        <v>1049.9</v>
      </c>
      <c r="C19" s="53">
        <v>3430.8</v>
      </c>
      <c r="D19" s="54">
        <f>15+99.7+173.8+0.6</f>
        <v>289.1</v>
      </c>
      <c r="E19" s="1">
        <f>D19/D17*100</f>
        <v>1.5210585852208458</v>
      </c>
      <c r="F19" s="1">
        <f t="shared" si="3"/>
        <v>27.535955805314792</v>
      </c>
      <c r="G19" s="1">
        <f t="shared" si="0"/>
        <v>8.42660603940772</v>
      </c>
      <c r="H19" s="1">
        <f t="shared" si="2"/>
        <v>760.8000000000001</v>
      </c>
      <c r="I19" s="1">
        <f t="shared" si="1"/>
        <v>3141.7000000000003</v>
      </c>
    </row>
    <row r="20" spans="1:9" ht="18">
      <c r="A20" s="31" t="s">
        <v>1</v>
      </c>
      <c r="B20" s="52">
        <v>435.6</v>
      </c>
      <c r="C20" s="53">
        <v>1299.7</v>
      </c>
      <c r="D20" s="54">
        <f>50.7+162.6+43.4+2.3</f>
        <v>259</v>
      </c>
      <c r="E20" s="1">
        <f>D20/D17*100</f>
        <v>1.3626917107305396</v>
      </c>
      <c r="F20" s="1">
        <f t="shared" si="3"/>
        <v>59.458218549127636</v>
      </c>
      <c r="G20" s="1">
        <f t="shared" si="0"/>
        <v>19.92767561745018</v>
      </c>
      <c r="H20" s="1">
        <f t="shared" si="2"/>
        <v>176.60000000000002</v>
      </c>
      <c r="I20" s="1">
        <f t="shared" si="1"/>
        <v>1040.7</v>
      </c>
    </row>
    <row r="21" spans="1:9" ht="18">
      <c r="A21" s="31" t="s">
        <v>0</v>
      </c>
      <c r="B21" s="52">
        <v>3808.6</v>
      </c>
      <c r="C21" s="53">
        <v>9811.5</v>
      </c>
      <c r="D21" s="54">
        <f>36.6+15.7+3.3+2</f>
        <v>57.599999999999994</v>
      </c>
      <c r="E21" s="1">
        <f>D21/D17*100</f>
        <v>0.3030542182937416</v>
      </c>
      <c r="F21" s="1">
        <f t="shared" si="3"/>
        <v>1.512366748936617</v>
      </c>
      <c r="G21" s="1">
        <f t="shared" si="0"/>
        <v>0.5870661978290781</v>
      </c>
      <c r="H21" s="1">
        <f t="shared" si="2"/>
        <v>3751</v>
      </c>
      <c r="I21" s="1">
        <f t="shared" si="1"/>
        <v>9753.9</v>
      </c>
    </row>
    <row r="22" spans="1:9" ht="18">
      <c r="A22" s="31" t="s">
        <v>15</v>
      </c>
      <c r="B22" s="52">
        <v>227.5</v>
      </c>
      <c r="C22" s="53">
        <v>682.5</v>
      </c>
      <c r="D22" s="54">
        <f>14.2+80.1+19.7</f>
        <v>114</v>
      </c>
      <c r="E22" s="1">
        <f>D22/D17*100</f>
        <v>0.599794807039697</v>
      </c>
      <c r="F22" s="1">
        <f t="shared" si="3"/>
        <v>50.10989010989011</v>
      </c>
      <c r="G22" s="1">
        <f t="shared" si="0"/>
        <v>16.7032967032967</v>
      </c>
      <c r="H22" s="1">
        <f t="shared" si="2"/>
        <v>113.5</v>
      </c>
      <c r="I22" s="1">
        <f t="shared" si="1"/>
        <v>568.5</v>
      </c>
    </row>
    <row r="23" spans="1:9" ht="18.75" thickBot="1">
      <c r="A23" s="31" t="s">
        <v>36</v>
      </c>
      <c r="B23" s="53">
        <f>B17-B18-B19-B20-B21-B22</f>
        <v>2044.9</v>
      </c>
      <c r="C23" s="53">
        <f>C17-C18-C19-C20-C21-C22</f>
        <v>5842.699999999997</v>
      </c>
      <c r="D23" s="53">
        <f>D17-D18-D19-D20-D21-D22</f>
        <v>1113.8999999999987</v>
      </c>
      <c r="E23" s="1">
        <f>D23/D17*100</f>
        <v>5.860626627732611</v>
      </c>
      <c r="F23" s="1">
        <f t="shared" si="3"/>
        <v>54.47210132524811</v>
      </c>
      <c r="G23" s="1">
        <f t="shared" si="0"/>
        <v>19.064815924144646</v>
      </c>
      <c r="H23" s="1">
        <f t="shared" si="2"/>
        <v>931.0000000000014</v>
      </c>
      <c r="I23" s="1">
        <f t="shared" si="1"/>
        <v>4728.799999999998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6141.2</v>
      </c>
      <c r="C31" s="56">
        <v>18423.5</v>
      </c>
      <c r="D31" s="60">
        <f>1347.1+62.9+5.5+1121.1+3+1.1+2.6+0.1+234+6+147.2+4.6+1039.4</f>
        <v>3974.5999999999995</v>
      </c>
      <c r="E31" s="3">
        <f>D31/D134*100</f>
        <v>6.251454887478214</v>
      </c>
      <c r="F31" s="3">
        <f>D31/B31*100</f>
        <v>64.72025011398424</v>
      </c>
      <c r="G31" s="3">
        <f t="shared" si="0"/>
        <v>21.57353380193774</v>
      </c>
      <c r="H31" s="3">
        <f aca="true" t="shared" si="4" ref="H31:H41">B31-D31</f>
        <v>2166.6000000000004</v>
      </c>
      <c r="I31" s="3">
        <f t="shared" si="1"/>
        <v>14448.900000000001</v>
      </c>
    </row>
    <row r="32" spans="1:9" ht="18">
      <c r="A32" s="31" t="s">
        <v>3</v>
      </c>
      <c r="B32" s="52">
        <v>4538.9</v>
      </c>
      <c r="C32" s="53">
        <v>13955.3</v>
      </c>
      <c r="D32" s="54">
        <f>1119.5+1121.1+1039.4</f>
        <v>3280</v>
      </c>
      <c r="E32" s="1">
        <f>D32/D31*100</f>
        <v>82.52402757510191</v>
      </c>
      <c r="F32" s="1">
        <f t="shared" si="3"/>
        <v>72.26420498358634</v>
      </c>
      <c r="G32" s="1">
        <f t="shared" si="0"/>
        <v>23.503615113971037</v>
      </c>
      <c r="H32" s="1">
        <f t="shared" si="4"/>
        <v>1258.8999999999996</v>
      </c>
      <c r="I32" s="1">
        <f t="shared" si="1"/>
        <v>10675.3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496.8</v>
      </c>
      <c r="C34" s="53">
        <v>968.7</v>
      </c>
      <c r="D34" s="54">
        <f>1+2.5+0.8+6+1.4+0.1</f>
        <v>11.8</v>
      </c>
      <c r="E34" s="1">
        <f>D34/D31*100</f>
        <v>0.29688522115433</v>
      </c>
      <c r="F34" s="1">
        <f t="shared" si="3"/>
        <v>2.375201288244767</v>
      </c>
      <c r="G34" s="1">
        <f t="shared" si="0"/>
        <v>1.2181273872199856</v>
      </c>
      <c r="H34" s="1">
        <f t="shared" si="4"/>
        <v>485</v>
      </c>
      <c r="I34" s="1">
        <f t="shared" si="1"/>
        <v>956.9000000000001</v>
      </c>
    </row>
    <row r="35" spans="1:9" s="47" customFormat="1" ht="18.75">
      <c r="A35" s="25" t="s">
        <v>7</v>
      </c>
      <c r="B35" s="61">
        <v>116.2</v>
      </c>
      <c r="C35" s="62">
        <v>348.6</v>
      </c>
      <c r="D35" s="63">
        <f>38.5+5.5+3+4.5</f>
        <v>51.5</v>
      </c>
      <c r="E35" s="21">
        <f>D35/D31*100</f>
        <v>1.2957278719871184</v>
      </c>
      <c r="F35" s="21">
        <f t="shared" si="3"/>
        <v>44.320137693631665</v>
      </c>
      <c r="G35" s="21">
        <f t="shared" si="0"/>
        <v>14.773379231210557</v>
      </c>
      <c r="H35" s="21">
        <f t="shared" si="4"/>
        <v>64.7</v>
      </c>
      <c r="I35" s="21">
        <f t="shared" si="1"/>
        <v>297.1</v>
      </c>
    </row>
    <row r="36" spans="1:9" ht="18">
      <c r="A36" s="31" t="s">
        <v>15</v>
      </c>
      <c r="B36" s="52">
        <v>4.8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4.8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984.5000000000002</v>
      </c>
      <c r="C37" s="52">
        <f>C31-C32-C34-C35-C33-C36</f>
        <v>3138.900000000001</v>
      </c>
      <c r="D37" s="52">
        <f>D31-D32-D34-D35-D33-D36</f>
        <v>631.2999999999995</v>
      </c>
      <c r="E37" s="1">
        <f>D37/D31*100</f>
        <v>15.883359331756644</v>
      </c>
      <c r="F37" s="1">
        <f t="shared" si="3"/>
        <v>64.1239207719654</v>
      </c>
      <c r="G37" s="1">
        <f t="shared" si="0"/>
        <v>20.112141195960344</v>
      </c>
      <c r="H37" s="1">
        <f>B37-D37</f>
        <v>353.2000000000007</v>
      </c>
      <c r="I37" s="1">
        <f t="shared" si="1"/>
        <v>2507.6000000000013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172.4</v>
      </c>
      <c r="C41" s="56">
        <v>517.2</v>
      </c>
      <c r="D41" s="57">
        <f>39.9+10</f>
        <v>49.9</v>
      </c>
      <c r="E41" s="3">
        <f>D41/D134*100</f>
        <v>0.07848528125727443</v>
      </c>
      <c r="F41" s="3">
        <f>D41/B41*100</f>
        <v>28.944315545243615</v>
      </c>
      <c r="G41" s="3">
        <f t="shared" si="0"/>
        <v>9.648105181747873</v>
      </c>
      <c r="H41" s="3">
        <f t="shared" si="4"/>
        <v>122.5</v>
      </c>
      <c r="I41" s="3">
        <f t="shared" si="1"/>
        <v>467.30000000000007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916.6</v>
      </c>
      <c r="C43" s="56">
        <v>2749.7</v>
      </c>
      <c r="D43" s="57">
        <f>179.7+225.2+3.4+199.4</f>
        <v>607.6999999999999</v>
      </c>
      <c r="E43" s="3">
        <f>D43/D134*100</f>
        <v>0.9558217519047226</v>
      </c>
      <c r="F43" s="3">
        <f>D43/B43*100</f>
        <v>66.29936722670739</v>
      </c>
      <c r="G43" s="3">
        <f aca="true" t="shared" si="5" ref="G43:G73">D43/C43*100</f>
        <v>22.100592791940937</v>
      </c>
      <c r="H43" s="3">
        <f>B43-D43</f>
        <v>308.9000000000001</v>
      </c>
      <c r="I43" s="3">
        <f aca="true" t="shared" si="6" ref="I43:I74">C43-D43</f>
        <v>2142</v>
      </c>
    </row>
    <row r="44" spans="1:9" ht="18">
      <c r="A44" s="31" t="s">
        <v>3</v>
      </c>
      <c r="B44" s="52">
        <v>786</v>
      </c>
      <c r="C44" s="53">
        <v>2363</v>
      </c>
      <c r="D44" s="54">
        <f>179.7+201.3+187</f>
        <v>568</v>
      </c>
      <c r="E44" s="1">
        <f>D44/D43*100</f>
        <v>93.46717130162911</v>
      </c>
      <c r="F44" s="1">
        <f aca="true" t="shared" si="7" ref="F44:F71">D44/B44*100</f>
        <v>72.264631043257</v>
      </c>
      <c r="G44" s="1">
        <f t="shared" si="5"/>
        <v>24.037240795598816</v>
      </c>
      <c r="H44" s="1">
        <f aca="true" t="shared" si="8" ref="H44:H71">B44-D44</f>
        <v>218</v>
      </c>
      <c r="I44" s="1">
        <f t="shared" si="6"/>
        <v>1795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7.3</v>
      </c>
      <c r="C46" s="53">
        <v>22.9</v>
      </c>
      <c r="D46" s="54">
        <f>3.2</f>
        <v>3.2</v>
      </c>
      <c r="E46" s="1">
        <f>D46/D43*100</f>
        <v>0.5265756129669246</v>
      </c>
      <c r="F46" s="1">
        <f t="shared" si="7"/>
        <v>43.83561643835617</v>
      </c>
      <c r="G46" s="1">
        <f t="shared" si="5"/>
        <v>13.973799126637557</v>
      </c>
      <c r="H46" s="1">
        <f t="shared" si="8"/>
        <v>4.1</v>
      </c>
      <c r="I46" s="1">
        <f t="shared" si="6"/>
        <v>19.7</v>
      </c>
    </row>
    <row r="47" spans="1:9" ht="18">
      <c r="A47" s="31" t="s">
        <v>0</v>
      </c>
      <c r="B47" s="52">
        <v>96.2</v>
      </c>
      <c r="C47" s="53">
        <v>229.5</v>
      </c>
      <c r="D47" s="54">
        <f>23.1+2.7+0.5</f>
        <v>26.3</v>
      </c>
      <c r="E47" s="1">
        <f>D47/D43*100</f>
        <v>4.327793319071911</v>
      </c>
      <c r="F47" s="1">
        <f t="shared" si="7"/>
        <v>27.33887733887734</v>
      </c>
      <c r="G47" s="1">
        <f t="shared" si="5"/>
        <v>11.459694989106755</v>
      </c>
      <c r="H47" s="1">
        <f t="shared" si="8"/>
        <v>69.9</v>
      </c>
      <c r="I47" s="1">
        <f t="shared" si="6"/>
        <v>203.2</v>
      </c>
    </row>
    <row r="48" spans="1:9" ht="18.75" thickBot="1">
      <c r="A48" s="31" t="s">
        <v>36</v>
      </c>
      <c r="B48" s="53">
        <f>B43-B44-B47-B46-B45</f>
        <v>27.10000000000002</v>
      </c>
      <c r="C48" s="53">
        <f>C43-C44-C47-C46-C45</f>
        <v>134.2999999999998</v>
      </c>
      <c r="D48" s="53">
        <f>D43-D44-D47-D46-D45</f>
        <v>10.199999999999932</v>
      </c>
      <c r="E48" s="1">
        <f>D48/D43*100</f>
        <v>1.6784597663320608</v>
      </c>
      <c r="F48" s="1">
        <f t="shared" si="7"/>
        <v>37.638376383763564</v>
      </c>
      <c r="G48" s="1">
        <f t="shared" si="5"/>
        <v>7.594936708860719</v>
      </c>
      <c r="H48" s="1">
        <f t="shared" si="8"/>
        <v>16.900000000000087</v>
      </c>
      <c r="I48" s="1">
        <f t="shared" si="6"/>
        <v>124.09999999999988</v>
      </c>
    </row>
    <row r="49" spans="1:9" ht="18.75" thickBot="1">
      <c r="A49" s="30" t="s">
        <v>4</v>
      </c>
      <c r="B49" s="55">
        <v>2062.1</v>
      </c>
      <c r="C49" s="56">
        <v>6186.2</v>
      </c>
      <c r="D49" s="57">
        <f>282.8+343.5+104.6+27.4+31.1+70.8+315.1</f>
        <v>1175.3</v>
      </c>
      <c r="E49" s="3">
        <f>D49/D134*100</f>
        <v>1.848572165564622</v>
      </c>
      <c r="F49" s="3">
        <f>D49/B49*100</f>
        <v>56.9952960574172</v>
      </c>
      <c r="G49" s="3">
        <f t="shared" si="5"/>
        <v>18.99873912902913</v>
      </c>
      <c r="H49" s="3">
        <f>B49-D49</f>
        <v>886.8</v>
      </c>
      <c r="I49" s="3">
        <f t="shared" si="6"/>
        <v>5010.9</v>
      </c>
    </row>
    <row r="50" spans="1:9" ht="18">
      <c r="A50" s="31" t="s">
        <v>3</v>
      </c>
      <c r="B50" s="52">
        <v>1287.8</v>
      </c>
      <c r="C50" s="53">
        <v>3863.4</v>
      </c>
      <c r="D50" s="54">
        <f>282.8+343.5+279.8</f>
        <v>906.0999999999999</v>
      </c>
      <c r="E50" s="1">
        <f>D50/D49*100</f>
        <v>77.09520973368501</v>
      </c>
      <c r="F50" s="1">
        <f t="shared" si="7"/>
        <v>70.3603043950924</v>
      </c>
      <c r="G50" s="1">
        <f t="shared" si="5"/>
        <v>23.453434798364132</v>
      </c>
      <c r="H50" s="1">
        <f t="shared" si="8"/>
        <v>381.70000000000005</v>
      </c>
      <c r="I50" s="1">
        <f t="shared" si="6"/>
        <v>2957.3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45.3</v>
      </c>
      <c r="C52" s="53">
        <v>156.7</v>
      </c>
      <c r="D52" s="54">
        <f>2.4</f>
        <v>2.4</v>
      </c>
      <c r="E52" s="1">
        <f>D52/D49*100</f>
        <v>0.2042031821662554</v>
      </c>
      <c r="F52" s="1">
        <f t="shared" si="7"/>
        <v>5.298013245033113</v>
      </c>
      <c r="G52" s="1">
        <f t="shared" si="5"/>
        <v>1.5315890236119976</v>
      </c>
      <c r="H52" s="1">
        <f t="shared" si="8"/>
        <v>42.9</v>
      </c>
      <c r="I52" s="1">
        <f t="shared" si="6"/>
        <v>154.29999999999998</v>
      </c>
    </row>
    <row r="53" spans="1:9" ht="18">
      <c r="A53" s="31" t="s">
        <v>0</v>
      </c>
      <c r="B53" s="52">
        <v>136.9</v>
      </c>
      <c r="C53" s="53">
        <v>288.6</v>
      </c>
      <c r="D53" s="54">
        <f>6</f>
        <v>6</v>
      </c>
      <c r="E53" s="1">
        <f>D53/D49*100</f>
        <v>0.5105079554156386</v>
      </c>
      <c r="F53" s="1">
        <f t="shared" si="7"/>
        <v>4.382761139517896</v>
      </c>
      <c r="G53" s="1">
        <f t="shared" si="5"/>
        <v>2.0790020790020787</v>
      </c>
      <c r="H53" s="1">
        <f t="shared" si="8"/>
        <v>130.9</v>
      </c>
      <c r="I53" s="1">
        <f t="shared" si="6"/>
        <v>282.6</v>
      </c>
    </row>
    <row r="54" spans="1:9" ht="18.75" thickBot="1">
      <c r="A54" s="31" t="s">
        <v>36</v>
      </c>
      <c r="B54" s="53">
        <f>B49-B50-B53-B52-B51</f>
        <v>592.1</v>
      </c>
      <c r="C54" s="53">
        <f>C49-C50-C53-C52-C51</f>
        <v>1877.4999999999998</v>
      </c>
      <c r="D54" s="53">
        <f>D49-D50-D53-D52-D51</f>
        <v>260.80000000000007</v>
      </c>
      <c r="E54" s="1">
        <f>D54/D49*100</f>
        <v>22.190079128733096</v>
      </c>
      <c r="F54" s="1">
        <f t="shared" si="7"/>
        <v>44.04661374767777</v>
      </c>
      <c r="G54" s="1">
        <f t="shared" si="5"/>
        <v>13.890812250332896</v>
      </c>
      <c r="H54" s="1">
        <f t="shared" si="8"/>
        <v>331.29999999999995</v>
      </c>
      <c r="I54" s="1">
        <f>C54-D54</f>
        <v>1616.6999999999998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396.7</v>
      </c>
      <c r="C56" s="56">
        <f>2265.7-971.7</f>
        <v>1293.9999999999998</v>
      </c>
      <c r="D56" s="57">
        <f>128-60.9+102.5+11.8+75.2</f>
        <v>256.6</v>
      </c>
      <c r="E56" s="3">
        <f>D56/D134*100</f>
        <v>0.40359365071375986</v>
      </c>
      <c r="F56" s="3">
        <f>D56/B56*100</f>
        <v>64.68364003024956</v>
      </c>
      <c r="G56" s="3">
        <f t="shared" si="5"/>
        <v>19.829984544049463</v>
      </c>
      <c r="H56" s="3">
        <f>B56-D56</f>
        <v>140.09999999999997</v>
      </c>
      <c r="I56" s="3">
        <f t="shared" si="6"/>
        <v>1037.3999999999996</v>
      </c>
    </row>
    <row r="57" spans="1:9" ht="18">
      <c r="A57" s="31" t="s">
        <v>3</v>
      </c>
      <c r="B57" s="52">
        <v>278.6</v>
      </c>
      <c r="C57" s="53">
        <f>1451.2-795</f>
        <v>656.2</v>
      </c>
      <c r="D57" s="54">
        <f>128-60.9+102.5+75.2</f>
        <v>244.8</v>
      </c>
      <c r="E57" s="1">
        <f>D57/D56*100</f>
        <v>95.40140296180826</v>
      </c>
      <c r="F57" s="1">
        <f t="shared" si="7"/>
        <v>87.86791098348887</v>
      </c>
      <c r="G57" s="1">
        <f t="shared" si="5"/>
        <v>37.30569948186528</v>
      </c>
      <c r="H57" s="1">
        <f t="shared" si="8"/>
        <v>33.80000000000001</v>
      </c>
      <c r="I57" s="1">
        <f t="shared" si="6"/>
        <v>411.40000000000003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75.3</v>
      </c>
      <c r="C59" s="53">
        <f>284.4-144.7</f>
        <v>139.7</v>
      </c>
      <c r="D59" s="54">
        <f>4.5</f>
        <v>4.5</v>
      </c>
      <c r="E59" s="1">
        <f>D59/D56*100</f>
        <v>1.7537022603273575</v>
      </c>
      <c r="F59" s="1">
        <f t="shared" si="7"/>
        <v>5.9760956175298805</v>
      </c>
      <c r="G59" s="1">
        <f t="shared" si="5"/>
        <v>3.2211882605583395</v>
      </c>
      <c r="H59" s="1">
        <f t="shared" si="8"/>
        <v>70.8</v>
      </c>
      <c r="I59" s="1">
        <f t="shared" si="6"/>
        <v>135.2</v>
      </c>
    </row>
    <row r="60" spans="1:9" ht="18">
      <c r="A60" s="31" t="s">
        <v>15</v>
      </c>
      <c r="B60" s="52">
        <v>17.9</v>
      </c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17.9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24.89999999999997</v>
      </c>
      <c r="C61" s="53">
        <f>C56-C57-C59-C60-C58</f>
        <v>58.59999999999974</v>
      </c>
      <c r="D61" s="53">
        <f>D56-D57-D59-D60-D58</f>
        <v>7.300000000000011</v>
      </c>
      <c r="E61" s="1">
        <f>D61/D56*100</f>
        <v>2.8448947778643845</v>
      </c>
      <c r="F61" s="1">
        <f t="shared" si="7"/>
        <v>29.3172690763053</v>
      </c>
      <c r="G61" s="1">
        <f t="shared" si="5"/>
        <v>12.457337883959118</v>
      </c>
      <c r="H61" s="1">
        <f t="shared" si="8"/>
        <v>17.59999999999996</v>
      </c>
      <c r="I61" s="1">
        <f t="shared" si="6"/>
        <v>51.29999999999973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65.8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65.8</v>
      </c>
      <c r="I66" s="3">
        <f t="shared" si="6"/>
        <v>197.4</v>
      </c>
    </row>
    <row r="67" spans="1:9" ht="18">
      <c r="A67" s="31" t="s">
        <v>8</v>
      </c>
      <c r="B67" s="52">
        <f>22.9+22.9</f>
        <v>45.8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45.8</v>
      </c>
      <c r="I67" s="1">
        <f t="shared" si="6"/>
        <v>137.4</v>
      </c>
    </row>
    <row r="68" spans="1:9" ht="18.75" thickBot="1">
      <c r="A68" s="31" t="s">
        <v>9</v>
      </c>
      <c r="B68" s="52">
        <f>10+10</f>
        <v>20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20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66.7</v>
      </c>
      <c r="C74" s="72">
        <v>200</v>
      </c>
      <c r="D74" s="73"/>
      <c r="E74" s="51"/>
      <c r="F74" s="51"/>
      <c r="G74" s="51"/>
      <c r="H74" s="51">
        <f>B74-D74</f>
        <v>66.7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198.5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198.5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198.5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198.5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7495.8</v>
      </c>
      <c r="C87" s="56">
        <v>22487.4</v>
      </c>
      <c r="D87" s="57">
        <f>3.8+55.8+884+208.9+0.4+11.9+10.3+22.7+60.3+781.1+1004.9+29.9+24.2+11.3+0.5+128.1+69.2+31.5+41.9+1269.3</f>
        <v>4650</v>
      </c>
      <c r="E87" s="3">
        <f>D87/D134*100</f>
        <v>7.313758674275071</v>
      </c>
      <c r="F87" s="3">
        <f aca="true" t="shared" si="11" ref="F87:F92">D87/B87*100</f>
        <v>62.03473945409429</v>
      </c>
      <c r="G87" s="3">
        <f t="shared" si="9"/>
        <v>20.678246484698096</v>
      </c>
      <c r="H87" s="3">
        <f aca="true" t="shared" si="12" ref="H87:H92">B87-D87</f>
        <v>2845.8</v>
      </c>
      <c r="I87" s="3">
        <f t="shared" si="10"/>
        <v>17837.4</v>
      </c>
    </row>
    <row r="88" spans="1:9" ht="18">
      <c r="A88" s="31" t="s">
        <v>3</v>
      </c>
      <c r="B88" s="52">
        <v>6267.7</v>
      </c>
      <c r="C88" s="53">
        <v>18878.8</v>
      </c>
      <c r="D88" s="54">
        <f>3.8+55.8+877.5+206+1.6+755.1+834.4+26.6+41.3+1268.7</f>
        <v>4070.8</v>
      </c>
      <c r="E88" s="1">
        <f>D88/D87*100</f>
        <v>87.54408602150538</v>
      </c>
      <c r="F88" s="1">
        <f t="shared" si="11"/>
        <v>64.94886481484437</v>
      </c>
      <c r="G88" s="1">
        <f t="shared" si="9"/>
        <v>21.562811195626843</v>
      </c>
      <c r="H88" s="1">
        <f t="shared" si="12"/>
        <v>2196.8999999999996</v>
      </c>
      <c r="I88" s="1">
        <f t="shared" si="10"/>
        <v>14808</v>
      </c>
    </row>
    <row r="89" spans="1:9" ht="18">
      <c r="A89" s="31" t="s">
        <v>34</v>
      </c>
      <c r="B89" s="52">
        <v>507.6</v>
      </c>
      <c r="C89" s="53">
        <v>1104.3</v>
      </c>
      <c r="D89" s="54">
        <f>125+55.5+51.3</f>
        <v>231.8</v>
      </c>
      <c r="E89" s="1">
        <f>D89/D87*100</f>
        <v>4.98494623655914</v>
      </c>
      <c r="F89" s="1">
        <f t="shared" si="11"/>
        <v>45.665878644602046</v>
      </c>
      <c r="G89" s="1">
        <f t="shared" si="9"/>
        <v>20.990672824413657</v>
      </c>
      <c r="H89" s="1">
        <f t="shared" si="12"/>
        <v>275.8</v>
      </c>
      <c r="I89" s="1">
        <f t="shared" si="10"/>
        <v>872.5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720.5000000000003</v>
      </c>
      <c r="C91" s="53">
        <f>C87-C88-C89-C90</f>
        <v>2504.300000000002</v>
      </c>
      <c r="D91" s="53">
        <f>D87-D88-D89-D90</f>
        <v>347.3999999999998</v>
      </c>
      <c r="E91" s="1">
        <f>D91/D87*100</f>
        <v>7.47096774193548</v>
      </c>
      <c r="F91" s="1">
        <f t="shared" si="11"/>
        <v>48.21651630811931</v>
      </c>
      <c r="G91" s="1">
        <f>D91/C91*100</f>
        <v>13.87213991933872</v>
      </c>
      <c r="H91" s="1">
        <f t="shared" si="12"/>
        <v>373.10000000000053</v>
      </c>
      <c r="I91" s="1">
        <f>C91-D91</f>
        <v>2156.9000000000024</v>
      </c>
    </row>
    <row r="92" spans="1:9" ht="19.5" thickBot="1">
      <c r="A92" s="15" t="s">
        <v>12</v>
      </c>
      <c r="B92" s="64">
        <v>5510.7</v>
      </c>
      <c r="C92" s="75">
        <v>16532.1</v>
      </c>
      <c r="D92" s="57">
        <f>2618.9+2514.7+108.2</f>
        <v>5241.8</v>
      </c>
      <c r="E92" s="3">
        <f>D92/D134*100</f>
        <v>8.244572090067757</v>
      </c>
      <c r="F92" s="3">
        <f t="shared" si="11"/>
        <v>95.12040212677157</v>
      </c>
      <c r="G92" s="3">
        <f>D92/C92*100</f>
        <v>31.706800708923854</v>
      </c>
      <c r="H92" s="3">
        <f t="shared" si="12"/>
        <v>268.89999999999964</v>
      </c>
      <c r="I92" s="3">
        <f>C92-D92</f>
        <v>11290.3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778.3</v>
      </c>
      <c r="C98" s="110">
        <v>2334.9</v>
      </c>
      <c r="D98" s="94">
        <f>111.6+19.4+112.6-0.1+0.9+99.9+111.6+6.9</f>
        <v>462.79999999999995</v>
      </c>
      <c r="E98" s="27">
        <f>D98/D134*100</f>
        <v>0.7279155945063447</v>
      </c>
      <c r="F98" s="27">
        <f>D98/B98*100</f>
        <v>59.46293203135038</v>
      </c>
      <c r="G98" s="27">
        <f aca="true" t="shared" si="13" ref="G98:G111">D98/C98*100</f>
        <v>19.820977343783458</v>
      </c>
      <c r="H98" s="27">
        <f>B98-D98</f>
        <v>315.5</v>
      </c>
      <c r="I98" s="27">
        <f aca="true" t="shared" si="14" ref="I98:I132">C98-D98</f>
        <v>1872.1000000000001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667.8</v>
      </c>
      <c r="C100" s="54">
        <v>2031</v>
      </c>
      <c r="D100" s="54">
        <f>111.4+112.6+0.9+99.8+111.4</f>
        <v>436.1</v>
      </c>
      <c r="E100" s="1">
        <f>D100/D98*100</f>
        <v>94.23076923076924</v>
      </c>
      <c r="F100" s="1">
        <f aca="true" t="shared" si="15" ref="F100:F132">D100/B100*100</f>
        <v>65.30398322851154</v>
      </c>
      <c r="G100" s="1">
        <f t="shared" si="13"/>
        <v>21.472181191531266</v>
      </c>
      <c r="H100" s="1">
        <f>B100-D100</f>
        <v>231.69999999999993</v>
      </c>
      <c r="I100" s="1">
        <f t="shared" si="14"/>
        <v>1594.9</v>
      </c>
    </row>
    <row r="101" spans="1:9" ht="18.75" thickBot="1">
      <c r="A101" s="102" t="s">
        <v>36</v>
      </c>
      <c r="B101" s="104">
        <f>B98-B99-B100</f>
        <v>110.5</v>
      </c>
      <c r="C101" s="104">
        <f>C98-C99-C100</f>
        <v>278.4000000000001</v>
      </c>
      <c r="D101" s="104">
        <f>D98-D99-D100</f>
        <v>26.699999999999932</v>
      </c>
      <c r="E101" s="100">
        <f>D101/D98*100</f>
        <v>5.769230769230755</v>
      </c>
      <c r="F101" s="100">
        <f t="shared" si="15"/>
        <v>24.16289592760175</v>
      </c>
      <c r="G101" s="100">
        <f t="shared" si="13"/>
        <v>9.590517241379283</v>
      </c>
      <c r="H101" s="100">
        <f>B101-D101</f>
        <v>83.80000000000007</v>
      </c>
      <c r="I101" s="100">
        <f t="shared" si="14"/>
        <v>251.70000000000016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3310.8</v>
      </c>
      <c r="C102" s="97">
        <f>SUM(C103:C131)-C110-C114+C132-C127-C128-C104-C107</f>
        <v>7838.6</v>
      </c>
      <c r="D102" s="97">
        <f>SUM(D103:D131)-D110-D114+D132-D127-D128-D104-D107</f>
        <v>94.3</v>
      </c>
      <c r="E102" s="98">
        <f>D102/D134*100</f>
        <v>0.14831988021164283</v>
      </c>
      <c r="F102" s="98">
        <f>D102/B102*100</f>
        <v>2.848254198381056</v>
      </c>
      <c r="G102" s="98">
        <f t="shared" si="13"/>
        <v>1.203020947618197</v>
      </c>
      <c r="H102" s="98">
        <f>B102-D102</f>
        <v>3216.5</v>
      </c>
      <c r="I102" s="98">
        <f t="shared" si="14"/>
        <v>7744.3</v>
      </c>
    </row>
    <row r="103" spans="1:9" ht="37.5">
      <c r="A103" s="36" t="s">
        <v>70</v>
      </c>
      <c r="B103" s="82">
        <v>135.8</v>
      </c>
      <c r="C103" s="78">
        <v>407.4</v>
      </c>
      <c r="D103" s="83">
        <f>1.4</f>
        <v>1.4</v>
      </c>
      <c r="E103" s="6">
        <f>D103/D102*100</f>
        <v>1.4846235418875928</v>
      </c>
      <c r="F103" s="6">
        <f t="shared" si="15"/>
        <v>1.0309278350515463</v>
      </c>
      <c r="G103" s="6">
        <f t="shared" si="13"/>
        <v>0.3436426116838488</v>
      </c>
      <c r="H103" s="6">
        <f aca="true" t="shared" si="16" ref="H103:H132">B103-D103</f>
        <v>134.4</v>
      </c>
      <c r="I103" s="6">
        <f t="shared" si="14"/>
        <v>406</v>
      </c>
    </row>
    <row r="104" spans="1:9" ht="18">
      <c r="A104" s="31" t="s">
        <v>34</v>
      </c>
      <c r="B104" s="85">
        <v>86.5</v>
      </c>
      <c r="C104" s="54">
        <v>259.5</v>
      </c>
      <c r="D104" s="86">
        <f>1.4</f>
        <v>1.4</v>
      </c>
      <c r="E104" s="1"/>
      <c r="F104" s="1">
        <f t="shared" si="15"/>
        <v>1.6184971098265895</v>
      </c>
      <c r="G104" s="1">
        <f t="shared" si="13"/>
        <v>0.5394990366088631</v>
      </c>
      <c r="H104" s="1">
        <f t="shared" si="16"/>
        <v>85.1</v>
      </c>
      <c r="I104" s="1">
        <f t="shared" si="14"/>
        <v>258.1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8.5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8.5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12.8</v>
      </c>
      <c r="C108" s="71">
        <v>38.4</v>
      </c>
      <c r="D108" s="83">
        <f>5.5</f>
        <v>5.5</v>
      </c>
      <c r="E108" s="6">
        <f>D108/D102*100</f>
        <v>5.832449628844115</v>
      </c>
      <c r="F108" s="6">
        <f t="shared" si="15"/>
        <v>42.96875</v>
      </c>
      <c r="G108" s="6">
        <f t="shared" si="13"/>
        <v>14.322916666666668</v>
      </c>
      <c r="H108" s="6">
        <f t="shared" si="16"/>
        <v>7.300000000000001</v>
      </c>
      <c r="I108" s="6">
        <f t="shared" si="14"/>
        <v>32.9</v>
      </c>
    </row>
    <row r="109" spans="1:9" ht="37.5">
      <c r="A109" s="19" t="s">
        <v>48</v>
      </c>
      <c r="B109" s="84">
        <v>210.6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210.6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62</v>
      </c>
      <c r="B111" s="84">
        <v>16.9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16.9</v>
      </c>
      <c r="I111" s="21">
        <f t="shared" si="14"/>
        <v>50.7</v>
      </c>
    </row>
    <row r="112" spans="1:9" ht="37.5">
      <c r="A112" s="19" t="s">
        <v>61</v>
      </c>
      <c r="B112" s="84">
        <v>14</v>
      </c>
      <c r="C112" s="71">
        <v>42.1</v>
      </c>
      <c r="D112" s="83"/>
      <c r="E112" s="6">
        <f>D112/D102*100</f>
        <v>0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14</v>
      </c>
      <c r="I112" s="6">
        <f t="shared" si="14"/>
        <v>42.1</v>
      </c>
    </row>
    <row r="113" spans="1:9" s="2" customFormat="1" ht="18.75">
      <c r="A113" s="19" t="s">
        <v>16</v>
      </c>
      <c r="B113" s="84">
        <v>24.5</v>
      </c>
      <c r="C113" s="63">
        <v>73.4</v>
      </c>
      <c r="D113" s="83">
        <f>13.5</f>
        <v>13.5</v>
      </c>
      <c r="E113" s="6">
        <f>D113/D102*100</f>
        <v>14.316012725344645</v>
      </c>
      <c r="F113" s="6">
        <f t="shared" si="15"/>
        <v>55.10204081632652</v>
      </c>
      <c r="G113" s="6">
        <f t="shared" si="17"/>
        <v>18.392370572207085</v>
      </c>
      <c r="H113" s="6">
        <f t="shared" si="16"/>
        <v>11</v>
      </c>
      <c r="I113" s="6">
        <f t="shared" si="14"/>
        <v>59.900000000000006</v>
      </c>
    </row>
    <row r="114" spans="1:9" s="41" customFormat="1" ht="18">
      <c r="A114" s="42" t="s">
        <v>55</v>
      </c>
      <c r="B114" s="85">
        <v>23</v>
      </c>
      <c r="C114" s="54">
        <v>67.4</v>
      </c>
      <c r="D114" s="86">
        <f>13.5</f>
        <v>13.5</v>
      </c>
      <c r="E114" s="1"/>
      <c r="F114" s="1">
        <f t="shared" si="15"/>
        <v>58.69565217391305</v>
      </c>
      <c r="G114" s="1">
        <f t="shared" si="17"/>
        <v>20.029673590504448</v>
      </c>
      <c r="H114" s="1">
        <f t="shared" si="16"/>
        <v>9.5</v>
      </c>
      <c r="I114" s="1">
        <f t="shared" si="14"/>
        <v>53.900000000000006</v>
      </c>
    </row>
    <row r="115" spans="1:9" s="2" customFormat="1" ht="18.75">
      <c r="A115" s="19" t="s">
        <v>26</v>
      </c>
      <c r="B115" s="84">
        <v>14.3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14.3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18.5</v>
      </c>
      <c r="C116" s="63">
        <v>55.4</v>
      </c>
      <c r="D116" s="87">
        <f>16.2</f>
        <v>16.2</v>
      </c>
      <c r="E116" s="21">
        <f>D116/D102*100</f>
        <v>17.17921527041357</v>
      </c>
      <c r="F116" s="6">
        <f t="shared" si="15"/>
        <v>87.56756756756756</v>
      </c>
      <c r="G116" s="6">
        <f t="shared" si="17"/>
        <v>29.24187725631769</v>
      </c>
      <c r="H116" s="6">
        <f t="shared" si="16"/>
        <v>2.3000000000000007</v>
      </c>
      <c r="I116" s="6">
        <f t="shared" si="14"/>
        <v>39.2</v>
      </c>
    </row>
    <row r="117" spans="1:9" s="2" customFormat="1" ht="37.5">
      <c r="A117" s="19" t="s">
        <v>50</v>
      </c>
      <c r="B117" s="84">
        <v>431.1</v>
      </c>
      <c r="C117" s="63">
        <v>1293.2</v>
      </c>
      <c r="D117" s="87"/>
      <c r="E117" s="21">
        <f>D117/D102*100</f>
        <v>0</v>
      </c>
      <c r="F117" s="6">
        <f t="shared" si="15"/>
        <v>0</v>
      </c>
      <c r="G117" s="6">
        <f t="shared" si="17"/>
        <v>0</v>
      </c>
      <c r="H117" s="6">
        <f t="shared" si="16"/>
        <v>431.1</v>
      </c>
      <c r="I117" s="6">
        <f t="shared" si="14"/>
        <v>1293.2</v>
      </c>
    </row>
    <row r="118" spans="1:9" s="2" customFormat="1" ht="56.25">
      <c r="A118" s="19" t="s">
        <v>57</v>
      </c>
      <c r="B118" s="84">
        <v>25.1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25.1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63.4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63.4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28.5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28.5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9.4</v>
      </c>
      <c r="C123" s="63">
        <v>28.2</v>
      </c>
      <c r="D123" s="87">
        <f>0.5</f>
        <v>0.5</v>
      </c>
      <c r="E123" s="21">
        <f>D123/D102*100</f>
        <v>0.5302226935312832</v>
      </c>
      <c r="F123" s="6">
        <f t="shared" si="15"/>
        <v>5.319148936170213</v>
      </c>
      <c r="G123" s="6">
        <f t="shared" si="17"/>
        <v>1.773049645390071</v>
      </c>
      <c r="H123" s="6">
        <f t="shared" si="16"/>
        <v>8.9</v>
      </c>
      <c r="I123" s="6">
        <f t="shared" si="14"/>
        <v>27.7</v>
      </c>
    </row>
    <row r="124" spans="1:9" s="2" customFormat="1" ht="35.25" customHeight="1">
      <c r="A124" s="19" t="s">
        <v>78</v>
      </c>
      <c r="B124" s="84">
        <v>41.7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41.7</v>
      </c>
      <c r="I124" s="6">
        <f t="shared" si="14"/>
        <v>125</v>
      </c>
    </row>
    <row r="125" spans="1:9" s="2" customFormat="1" ht="18.75">
      <c r="A125" s="19" t="s">
        <v>103</v>
      </c>
      <c r="B125" s="84">
        <v>25.5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25.5</v>
      </c>
      <c r="I125" s="6">
        <f t="shared" si="14"/>
        <v>76.6</v>
      </c>
    </row>
    <row r="126" spans="1:9" s="2" customFormat="1" ht="18.75">
      <c r="A126" s="19" t="s">
        <v>33</v>
      </c>
      <c r="B126" s="84">
        <v>136.2</v>
      </c>
      <c r="C126" s="63">
        <v>408.7</v>
      </c>
      <c r="D126" s="87">
        <f>21.4+1.2+34.6</f>
        <v>57.2</v>
      </c>
      <c r="E126" s="21">
        <f>D126/D102*100</f>
        <v>60.6574761399788</v>
      </c>
      <c r="F126" s="6">
        <f t="shared" si="15"/>
        <v>41.9970631424376</v>
      </c>
      <c r="G126" s="6">
        <f t="shared" si="17"/>
        <v>13.995595791534136</v>
      </c>
      <c r="H126" s="6">
        <f t="shared" si="16"/>
        <v>78.99999999999999</v>
      </c>
      <c r="I126" s="6">
        <f t="shared" si="14"/>
        <v>351.5</v>
      </c>
    </row>
    <row r="127" spans="1:9" s="41" customFormat="1" ht="18">
      <c r="A127" s="42" t="s">
        <v>55</v>
      </c>
      <c r="B127" s="85">
        <v>114.5</v>
      </c>
      <c r="C127" s="54">
        <v>351.5</v>
      </c>
      <c r="D127" s="86">
        <f>21.4+1.2+34.6</f>
        <v>57.2</v>
      </c>
      <c r="E127" s="1">
        <f>D127/D126*100</f>
        <v>100</v>
      </c>
      <c r="F127" s="1">
        <f>D127/B127*100</f>
        <v>49.95633187772926</v>
      </c>
      <c r="G127" s="1">
        <f t="shared" si="17"/>
        <v>16.273115220483643</v>
      </c>
      <c r="H127" s="1">
        <f t="shared" si="16"/>
        <v>57.3</v>
      </c>
      <c r="I127" s="1">
        <f t="shared" si="14"/>
        <v>294.3</v>
      </c>
    </row>
    <row r="128" spans="1:9" s="41" customFormat="1" ht="18">
      <c r="A128" s="31" t="s">
        <v>34</v>
      </c>
      <c r="B128" s="85">
        <v>8.5</v>
      </c>
      <c r="C128" s="54">
        <v>15.5</v>
      </c>
      <c r="D128" s="86"/>
      <c r="E128" s="1">
        <f>D128/D126*100</f>
        <v>0</v>
      </c>
      <c r="F128" s="1">
        <f>D128/B128*100</f>
        <v>0</v>
      </c>
      <c r="G128" s="1">
        <f>D128/C128*100</f>
        <v>0</v>
      </c>
      <c r="H128" s="1">
        <f t="shared" si="16"/>
        <v>8.5</v>
      </c>
      <c r="I128" s="1">
        <f t="shared" si="14"/>
        <v>15.5</v>
      </c>
    </row>
    <row r="129" spans="1:9" s="2" customFormat="1" ht="18.75">
      <c r="A129" s="19" t="s">
        <v>28</v>
      </c>
      <c r="B129" s="84">
        <v>2094</v>
      </c>
      <c r="C129" s="63">
        <v>4188</v>
      </c>
      <c r="D129" s="87"/>
      <c r="E129" s="21">
        <f>D129/D102*100</f>
        <v>0</v>
      </c>
      <c r="F129" s="6"/>
      <c r="G129" s="6">
        <f t="shared" si="17"/>
        <v>0</v>
      </c>
      <c r="H129" s="6">
        <f t="shared" si="16"/>
        <v>2094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4592.5</v>
      </c>
      <c r="C133" s="88">
        <f>C41+C66+C69+C74+C76+C84+C98+C102+C96+C81+C94</f>
        <v>11683.7</v>
      </c>
      <c r="D133" s="63">
        <f>D41+D66+D69+D74+D76+D84+D98+D102+D96+D81+D94</f>
        <v>606.9999999999999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105961.20000000001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63578.80000000001</v>
      </c>
      <c r="E134" s="40">
        <v>100</v>
      </c>
      <c r="F134" s="3">
        <f>D134/B134*100</f>
        <v>60.00196298267668</v>
      </c>
      <c r="G134" s="3">
        <f aca="true" t="shared" si="18" ref="G134:G140">D134/C134*100</f>
        <v>20.13325948676636</v>
      </c>
      <c r="H134" s="3">
        <f aca="true" t="shared" si="19" ref="H134:H140">B134-D134</f>
        <v>42382.4</v>
      </c>
      <c r="I134" s="3">
        <f aca="true" t="shared" si="20" ref="I134:I140">C134-D134</f>
        <v>252211.1</v>
      </c>
      <c r="K134" s="49"/>
      <c r="L134" s="50"/>
    </row>
    <row r="135" spans="1:12" ht="18.75">
      <c r="A135" s="25" t="s">
        <v>5</v>
      </c>
      <c r="B135" s="70">
        <f>B7+B18+B32+B50+B57+B88+B110+B114+B44+B127</f>
        <v>75061.3</v>
      </c>
      <c r="C135" s="70">
        <f>C7+C18+C32+C50+C57+C88+C110+C114+C44+C127</f>
        <v>227074.3</v>
      </c>
      <c r="D135" s="70">
        <f>D7+D18+D32+D50+D57+D88+D110+D114+D44+D127</f>
        <v>52381.3</v>
      </c>
      <c r="E135" s="6">
        <f>D135/D134*100</f>
        <v>82.38799725694727</v>
      </c>
      <c r="F135" s="6">
        <f aca="true" t="shared" si="21" ref="F135:F146">D135/B135*100</f>
        <v>69.78469597515631</v>
      </c>
      <c r="G135" s="6">
        <f t="shared" si="18"/>
        <v>23.067912132724842</v>
      </c>
      <c r="H135" s="6">
        <f t="shared" si="19"/>
        <v>22680</v>
      </c>
      <c r="I135" s="20">
        <f t="shared" si="20"/>
        <v>174693</v>
      </c>
      <c r="K135" s="49"/>
      <c r="L135" s="50"/>
    </row>
    <row r="136" spans="1:12" ht="18.75">
      <c r="A136" s="25" t="s">
        <v>0</v>
      </c>
      <c r="B136" s="71">
        <f>B10+B21+B34+B53+B59+B89+B47+B128+B104+B107</f>
        <v>11560.699999999999</v>
      </c>
      <c r="C136" s="71">
        <f>C10+C21+C34+C53+C59+C89+C47+C128+C104+C107</f>
        <v>31832.1</v>
      </c>
      <c r="D136" s="71">
        <f>D10+D21+D34+D53+D59+D89+D47+D128+D104+D107</f>
        <v>488.8</v>
      </c>
      <c r="E136" s="6">
        <f>D136/D134*100</f>
        <v>0.7688097290291731</v>
      </c>
      <c r="F136" s="6">
        <f t="shared" si="21"/>
        <v>4.228117674535279</v>
      </c>
      <c r="G136" s="6">
        <f t="shared" si="18"/>
        <v>1.5355568749784025</v>
      </c>
      <c r="H136" s="6">
        <f t="shared" si="19"/>
        <v>11071.9</v>
      </c>
      <c r="I136" s="20">
        <f t="shared" si="20"/>
        <v>31343.3</v>
      </c>
      <c r="K136" s="49"/>
      <c r="L136" s="106"/>
    </row>
    <row r="137" spans="1:12" ht="18.75">
      <c r="A137" s="25" t="s">
        <v>1</v>
      </c>
      <c r="B137" s="70">
        <f>B20+B9+B52+B46+B58+B33+B99</f>
        <v>3487.3</v>
      </c>
      <c r="C137" s="70">
        <f>C20+C9+C52+C46+C58+C33+C99</f>
        <v>10146.300000000001</v>
      </c>
      <c r="D137" s="70">
        <f>D20+D9+D52+D46+D58+D33+D99</f>
        <v>2055.5</v>
      </c>
      <c r="E137" s="6">
        <f>D137/D134*100</f>
        <v>3.2329959042951417</v>
      </c>
      <c r="F137" s="6">
        <f t="shared" si="21"/>
        <v>58.94244831244803</v>
      </c>
      <c r="G137" s="6">
        <f t="shared" si="18"/>
        <v>20.258616441461417</v>
      </c>
      <c r="H137" s="6">
        <f t="shared" si="19"/>
        <v>1431.8000000000002</v>
      </c>
      <c r="I137" s="20">
        <f t="shared" si="20"/>
        <v>8090.800000000001</v>
      </c>
      <c r="K137" s="49"/>
      <c r="L137" s="50"/>
    </row>
    <row r="138" spans="1:12" ht="21" customHeight="1">
      <c r="A138" s="25" t="s">
        <v>15</v>
      </c>
      <c r="B138" s="70">
        <f>B11+B22+B100+B60+B36+B90</f>
        <v>938.6999999999999</v>
      </c>
      <c r="C138" s="70">
        <f>C11+C22+C100+C60+C36+C90</f>
        <v>3397.9</v>
      </c>
      <c r="D138" s="70">
        <f>D11+D22+D100+D60+D36+D90</f>
        <v>554.1</v>
      </c>
      <c r="E138" s="6">
        <f>D138/D134*100</f>
        <v>0.8715169207345843</v>
      </c>
      <c r="F138" s="6">
        <f t="shared" si="21"/>
        <v>59.02844359220198</v>
      </c>
      <c r="G138" s="6">
        <f t="shared" si="18"/>
        <v>16.30713087495218</v>
      </c>
      <c r="H138" s="6">
        <f t="shared" si="19"/>
        <v>384.5999999999999</v>
      </c>
      <c r="I138" s="20">
        <f t="shared" si="20"/>
        <v>2843.8</v>
      </c>
      <c r="K138" s="49"/>
      <c r="L138" s="106"/>
    </row>
    <row r="139" spans="1:12" ht="18.75">
      <c r="A139" s="25" t="s">
        <v>2</v>
      </c>
      <c r="B139" s="70">
        <f>B8+B19+B45+B51</f>
        <v>1052.9</v>
      </c>
      <c r="C139" s="70">
        <f>C8+C19+C45+C51</f>
        <v>3438.4</v>
      </c>
      <c r="D139" s="70">
        <f>D8+D19+D45+D51</f>
        <v>289.20000000000005</v>
      </c>
      <c r="E139" s="6">
        <f>D139/D134*100</f>
        <v>0.4548686040000755</v>
      </c>
      <c r="F139" s="6">
        <f t="shared" si="21"/>
        <v>27.46699591604141</v>
      </c>
      <c r="G139" s="6">
        <f t="shared" si="18"/>
        <v>8.410888785481621</v>
      </c>
      <c r="H139" s="6">
        <f t="shared" si="19"/>
        <v>763.7</v>
      </c>
      <c r="I139" s="20">
        <f t="shared" si="20"/>
        <v>3149.2</v>
      </c>
      <c r="K139" s="49"/>
      <c r="L139" s="50"/>
    </row>
    <row r="140" spans="1:12" ht="19.5" thickBot="1">
      <c r="A140" s="25" t="s">
        <v>36</v>
      </c>
      <c r="B140" s="70">
        <f>B134-B135-B136-B137-B138-B139</f>
        <v>13860.300000000012</v>
      </c>
      <c r="C140" s="70">
        <f>C134-C135-C136-C137-C138-C139</f>
        <v>39900.90000000003</v>
      </c>
      <c r="D140" s="70">
        <f>D134-D135-D136-D137-D138-D139</f>
        <v>7809.900000000008</v>
      </c>
      <c r="E140" s="6">
        <f>D140/D134*100</f>
        <v>12.283811584993751</v>
      </c>
      <c r="F140" s="6">
        <f t="shared" si="21"/>
        <v>56.34726521070973</v>
      </c>
      <c r="G140" s="46">
        <f t="shared" si="18"/>
        <v>19.573242708811083</v>
      </c>
      <c r="H140" s="6">
        <f t="shared" si="19"/>
        <v>6050.400000000004</v>
      </c>
      <c r="I140" s="6">
        <f t="shared" si="20"/>
        <v>32091.000000000022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1460.2</v>
      </c>
      <c r="C146" s="70">
        <v>4380.6</v>
      </c>
      <c r="D146" s="70">
        <f>368.2+450.3</f>
        <v>818.5</v>
      </c>
      <c r="E146" s="21"/>
      <c r="F146" s="6">
        <f t="shared" si="21"/>
        <v>56.053965210245174</v>
      </c>
      <c r="G146" s="6">
        <f t="shared" si="22"/>
        <v>18.684655070081725</v>
      </c>
      <c r="H146" s="6">
        <f t="shared" si="24"/>
        <v>641.7</v>
      </c>
      <c r="I146" s="6">
        <f t="shared" si="23"/>
        <v>3562.1000000000004</v>
      </c>
      <c r="K146" s="49"/>
      <c r="L146" s="49"/>
    </row>
    <row r="147" spans="1:12" ht="18.75">
      <c r="A147" s="25" t="s">
        <v>27</v>
      </c>
      <c r="B147" s="92">
        <v>18.5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18.5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604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604</v>
      </c>
      <c r="I149" s="6">
        <f t="shared" si="23"/>
        <v>1812</v>
      </c>
    </row>
    <row r="150" spans="1:9" ht="19.5" thickBot="1">
      <c r="A150" s="25" t="s">
        <v>65</v>
      </c>
      <c r="B150" s="92">
        <v>1176.1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1176.1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109220.00000000001</v>
      </c>
      <c r="C151" s="94">
        <f>C134+C142+C146+C147+C143+C150+C149+C144+C148+C145</f>
        <v>325566.10000000003</v>
      </c>
      <c r="D151" s="94">
        <f>D134+D142+D146+D147+D143+D150+D149+D144+D148+D145</f>
        <v>64397.30000000001</v>
      </c>
      <c r="E151" s="27"/>
      <c r="F151" s="3">
        <f>D151/B151*100</f>
        <v>58.96108771287311</v>
      </c>
      <c r="G151" s="3">
        <f t="shared" si="22"/>
        <v>19.78009995512432</v>
      </c>
      <c r="H151" s="3">
        <f>B151-D151</f>
        <v>44822.700000000004</v>
      </c>
      <c r="I151" s="3">
        <f t="shared" si="23"/>
        <v>261168.80000000002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63578.80000000001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63578.80000000001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2014-01-31T12:26:39Z</cp:lastPrinted>
  <dcterms:created xsi:type="dcterms:W3CDTF">2000-06-20T04:48:00Z</dcterms:created>
  <dcterms:modified xsi:type="dcterms:W3CDTF">2014-02-14T05:58:54Z</dcterms:modified>
  <cp:category/>
  <cp:version/>
  <cp:contentType/>
  <cp:contentStatus/>
</cp:coreProperties>
</file>